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CT16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16" i="1" l="1"/>
  <c r="Z16" i="1" s="1"/>
  <c r="Y15" i="1"/>
  <c r="Z15" i="1" s="1"/>
  <c r="Y14" i="1"/>
  <c r="Z14" i="1" s="1"/>
  <c r="Y13" i="1"/>
  <c r="Z13" i="1" s="1"/>
  <c r="Y12" i="1"/>
  <c r="Z12" i="1" s="1"/>
  <c r="Y11" i="1"/>
  <c r="Z11" i="1" s="1"/>
  <c r="Y10" i="1"/>
  <c r="Z10" i="1" s="1"/>
  <c r="Y9" i="1"/>
  <c r="Z9" i="1" s="1"/>
  <c r="Y8" i="1"/>
  <c r="Z8" i="1" s="1"/>
  <c r="Y7" i="1"/>
  <c r="Z7" i="1" s="1"/>
  <c r="Y6" i="1"/>
  <c r="Z6" i="1" s="1"/>
  <c r="Y5" i="1"/>
  <c r="Z5" i="1" s="1"/>
  <c r="Y4" i="1"/>
  <c r="Z4" i="1" s="1"/>
  <c r="Y3" i="1"/>
  <c r="Z3" i="1" s="1"/>
  <c r="Y2" i="1"/>
  <c r="Z2" i="1" s="1"/>
  <c r="W16" i="1"/>
  <c r="W15" i="1"/>
  <c r="W14" i="1"/>
  <c r="W13" i="1"/>
  <c r="W12" i="1"/>
  <c r="W11" i="1"/>
  <c r="W10" i="1"/>
  <c r="W9" i="1"/>
  <c r="W8" i="1"/>
  <c r="W7" i="1"/>
  <c r="W6" i="1"/>
  <c r="W5" i="1"/>
  <c r="W4" i="1"/>
  <c r="W3" i="1"/>
  <c r="W2" i="1"/>
  <c r="U16" i="1"/>
  <c r="U15" i="1"/>
  <c r="U14" i="1"/>
  <c r="U13" i="1"/>
  <c r="U12" i="1"/>
  <c r="U11" i="1"/>
  <c r="U10" i="1"/>
  <c r="U9" i="1"/>
  <c r="U8" i="1"/>
  <c r="U7" i="1"/>
  <c r="U6" i="1"/>
  <c r="U5" i="1"/>
  <c r="U4" i="1"/>
  <c r="U3" i="1"/>
  <c r="U2" i="1"/>
  <c r="P17" i="1"/>
  <c r="P16" i="1"/>
  <c r="P15" i="1"/>
  <c r="P14" i="1"/>
  <c r="P13" i="1"/>
  <c r="P12" i="1"/>
  <c r="P11" i="1"/>
  <c r="P10" i="1"/>
  <c r="P9" i="1"/>
  <c r="P8" i="1"/>
  <c r="P7" i="1"/>
  <c r="P6" i="1"/>
  <c r="P5" i="1"/>
  <c r="P4" i="1"/>
  <c r="P3" i="1"/>
  <c r="P2" i="1"/>
  <c r="N17" i="1"/>
  <c r="N16" i="1"/>
  <c r="N15" i="1"/>
  <c r="N14" i="1"/>
  <c r="N13" i="1"/>
  <c r="N12" i="1"/>
  <c r="N11" i="1"/>
  <c r="N10" i="1"/>
  <c r="N9" i="1"/>
  <c r="N8" i="1"/>
  <c r="N7" i="1"/>
  <c r="N6" i="1"/>
  <c r="N5" i="1"/>
  <c r="N4" i="1"/>
  <c r="N3" i="1"/>
  <c r="N2" i="1"/>
  <c r="L17" i="1"/>
  <c r="L16" i="1"/>
  <c r="L15" i="1"/>
  <c r="L14" i="1"/>
  <c r="L13" i="1"/>
  <c r="L12" i="1"/>
  <c r="L11" i="1"/>
  <c r="L10" i="1"/>
  <c r="L9" i="1"/>
  <c r="L8" i="1"/>
  <c r="L7" i="1"/>
  <c r="L6" i="1"/>
  <c r="L5" i="1"/>
  <c r="L4" i="1"/>
  <c r="L3" i="1"/>
  <c r="L2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  <c r="J3" i="1"/>
  <c r="J2" i="1"/>
  <c r="F17" i="1"/>
  <c r="H17" i="1" s="1"/>
  <c r="F16" i="1"/>
  <c r="H16" i="1" s="1"/>
  <c r="F15" i="1"/>
  <c r="H15" i="1" s="1"/>
  <c r="F14" i="1"/>
  <c r="H14" i="1" s="1"/>
  <c r="F13" i="1"/>
  <c r="H13" i="1" s="1"/>
  <c r="F12" i="1"/>
  <c r="H12" i="1" s="1"/>
  <c r="F11" i="1"/>
  <c r="H11" i="1" s="1"/>
  <c r="F10" i="1"/>
  <c r="H10" i="1" s="1"/>
  <c r="F9" i="1"/>
  <c r="H9" i="1" s="1"/>
  <c r="F8" i="1"/>
  <c r="H8" i="1" s="1"/>
  <c r="F7" i="1"/>
  <c r="H7" i="1" s="1"/>
  <c r="F6" i="1"/>
  <c r="H6" i="1" s="1"/>
  <c r="F5" i="1"/>
  <c r="H5" i="1" s="1"/>
  <c r="F4" i="1"/>
  <c r="H4" i="1" s="1"/>
  <c r="F3" i="1"/>
  <c r="H3" i="1" s="1"/>
  <c r="F2" i="1"/>
  <c r="H2" i="1" s="1"/>
  <c r="AA16" i="1" l="1"/>
  <c r="AA15" i="1"/>
  <c r="AA14" i="1"/>
  <c r="AA13" i="1"/>
  <c r="AA12" i="1"/>
  <c r="AA11" i="1"/>
  <c r="AA10" i="1"/>
  <c r="AE9" i="1"/>
  <c r="AA9" i="1"/>
  <c r="AB9" i="1" s="1"/>
  <c r="AA8" i="1"/>
  <c r="AA7" i="1"/>
  <c r="AA6" i="1"/>
  <c r="AB6" i="1" s="1"/>
  <c r="AA5" i="1"/>
  <c r="AB5" i="1" s="1"/>
  <c r="AA4" i="1"/>
  <c r="AE3" i="1"/>
  <c r="AA3" i="1"/>
  <c r="AB3" i="1" s="1"/>
  <c r="AA2" i="1"/>
  <c r="AB2" i="1" s="1"/>
  <c r="AB7" i="1" l="1"/>
  <c r="AB4" i="1"/>
  <c r="AB8" i="1"/>
  <c r="AB16" i="1"/>
  <c r="AB10" i="1"/>
  <c r="AB11" i="1"/>
  <c r="AB12" i="1"/>
  <c r="AB13" i="1"/>
  <c r="AB14" i="1"/>
  <c r="AB15" i="1"/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2" i="1"/>
  <c r="I17" i="1" l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I3" i="1"/>
  <c r="K3" i="1" s="1"/>
  <c r="M3" i="1" s="1"/>
  <c r="I2" i="1"/>
  <c r="X3" i="1" l="1"/>
  <c r="O3" i="1"/>
  <c r="Q3" i="1" s="1"/>
  <c r="T3" i="1"/>
  <c r="AC3" i="1"/>
  <c r="K7" i="1"/>
  <c r="K15" i="1"/>
  <c r="K11" i="1"/>
  <c r="K2" i="1"/>
  <c r="K16" i="1"/>
  <c r="K6" i="1"/>
  <c r="K10" i="1"/>
  <c r="K14" i="1"/>
  <c r="K5" i="1"/>
  <c r="K9" i="1"/>
  <c r="K13" i="1"/>
  <c r="K17" i="1"/>
  <c r="K4" i="1"/>
  <c r="K8" i="1"/>
  <c r="K12" i="1"/>
  <c r="M17" i="1" l="1"/>
  <c r="M2" i="1"/>
  <c r="M12" i="1"/>
  <c r="M11" i="1"/>
  <c r="M14" i="1"/>
  <c r="M13" i="1"/>
  <c r="M10" i="1"/>
  <c r="M8" i="1"/>
  <c r="M9" i="1"/>
  <c r="M6" i="1"/>
  <c r="M15" i="1"/>
  <c r="M4" i="1"/>
  <c r="M5" i="1"/>
  <c r="M16" i="1"/>
  <c r="M7" i="1"/>
  <c r="X4" i="1" l="1"/>
  <c r="AC4" i="1" s="1"/>
  <c r="O4" i="1"/>
  <c r="T4" i="1"/>
  <c r="T6" i="1"/>
  <c r="O6" i="1"/>
  <c r="Q6" i="1" s="1"/>
  <c r="X6" i="1"/>
  <c r="AC6" i="1" s="1"/>
  <c r="X5" i="1"/>
  <c r="AC5" i="1" s="1"/>
  <c r="O5" i="1"/>
  <c r="Q5" i="1" s="1"/>
  <c r="T5" i="1"/>
  <c r="X15" i="1"/>
  <c r="AC15" i="1" s="1"/>
  <c r="O15" i="1"/>
  <c r="T15" i="1"/>
  <c r="T10" i="1"/>
  <c r="O10" i="1"/>
  <c r="X10" i="1"/>
  <c r="AC10" i="1" s="1"/>
  <c r="X12" i="1"/>
  <c r="AC12" i="1" s="1"/>
  <c r="O12" i="1"/>
  <c r="Q12" i="1" s="1"/>
  <c r="T12" i="1"/>
  <c r="X16" i="1"/>
  <c r="AC16" i="1" s="1"/>
  <c r="O16" i="1"/>
  <c r="T16" i="1"/>
  <c r="X8" i="1"/>
  <c r="AC8" i="1" s="1"/>
  <c r="O8" i="1"/>
  <c r="Q8" i="1" s="1"/>
  <c r="T8" i="1"/>
  <c r="X11" i="1"/>
  <c r="AC11" i="1" s="1"/>
  <c r="O11" i="1"/>
  <c r="T11" i="1"/>
  <c r="X17" i="1"/>
  <c r="O17" i="1"/>
  <c r="Q17" i="1" s="1"/>
  <c r="X13" i="1"/>
  <c r="AC13" i="1" s="1"/>
  <c r="O13" i="1"/>
  <c r="T13" i="1"/>
  <c r="T2" i="1"/>
  <c r="V2" i="1" s="1"/>
  <c r="O2" i="1"/>
  <c r="Q2" i="1" s="1"/>
  <c r="X2" i="1"/>
  <c r="X7" i="1"/>
  <c r="AC7" i="1" s="1"/>
  <c r="O7" i="1"/>
  <c r="T7" i="1"/>
  <c r="X9" i="1"/>
  <c r="AC9" i="1" s="1"/>
  <c r="O9" i="1"/>
  <c r="T9" i="1"/>
  <c r="T14" i="1"/>
  <c r="X14" i="1"/>
  <c r="AC14" i="1" s="1"/>
  <c r="O14" i="1"/>
  <c r="Q11" i="1" l="1"/>
  <c r="Q16" i="1"/>
  <c r="Q15" i="1"/>
  <c r="Q4" i="1"/>
  <c r="Q14" i="1"/>
  <c r="Q9" i="1"/>
  <c r="Q7" i="1"/>
  <c r="Q13" i="1"/>
  <c r="Q10" i="1"/>
  <c r="V5" i="1"/>
  <c r="V9" i="1"/>
  <c r="V13" i="1"/>
  <c r="V3" i="1"/>
  <c r="V11" i="1"/>
  <c r="V4" i="1"/>
  <c r="V12" i="1"/>
  <c r="V6" i="1"/>
  <c r="V10" i="1"/>
  <c r="V14" i="1"/>
  <c r="V7" i="1"/>
  <c r="V15" i="1"/>
  <c r="V8" i="1"/>
  <c r="V16" i="1"/>
  <c r="X23" i="1"/>
  <c r="AC2" i="1"/>
  <c r="AC23" i="1" s="1"/>
</calcChain>
</file>

<file path=xl/sharedStrings.xml><?xml version="1.0" encoding="utf-8"?>
<sst xmlns="http://schemas.openxmlformats.org/spreadsheetml/2006/main" count="48" uniqueCount="48">
  <si>
    <t xml:space="preserve">Sample name </t>
  </si>
  <si>
    <t>Time separated</t>
  </si>
  <si>
    <t>Time measured</t>
  </si>
  <si>
    <t>Time elapsed (hrs)</t>
  </si>
  <si>
    <t>Ingrowth factor</t>
  </si>
  <si>
    <t>CPM of Sr-90</t>
  </si>
  <si>
    <t xml:space="preserve">CPM of Y-90 </t>
  </si>
  <si>
    <t>DPM Total</t>
  </si>
  <si>
    <t>Decay constant of Y-90=</t>
  </si>
  <si>
    <t>Blk</t>
  </si>
  <si>
    <t>CT16 1 mL</t>
  </si>
  <si>
    <t>CT16 2 mL</t>
  </si>
  <si>
    <t>CT16 3 mL</t>
  </si>
  <si>
    <t>CT16 4 mL</t>
  </si>
  <si>
    <t>CT16 5 mL</t>
  </si>
  <si>
    <t>CT16 6 mL</t>
  </si>
  <si>
    <t>CT16 7 mL</t>
  </si>
  <si>
    <t>CT16 8 mL</t>
  </si>
  <si>
    <t>CT16 9 mL</t>
  </si>
  <si>
    <t>CT16 10 mL</t>
  </si>
  <si>
    <t>CT16 11 mL</t>
  </si>
  <si>
    <t>CT16 12 mL</t>
  </si>
  <si>
    <t>CT16 13 mL</t>
  </si>
  <si>
    <t>CT16 14 mL</t>
  </si>
  <si>
    <t>CT16 15 mL</t>
  </si>
  <si>
    <t>Total Bkgd corrected counts (cpm)</t>
  </si>
  <si>
    <t>Measured Counts (cpm)</t>
  </si>
  <si>
    <t>Weight of Eluate (g)</t>
  </si>
  <si>
    <t>Weight Corrected Sr-90 Activity (DPM)</t>
  </si>
  <si>
    <t>Cumulative Counts (DPM)</t>
  </si>
  <si>
    <t>6 mL/min</t>
  </si>
  <si>
    <t>Time from 05.06.2018</t>
  </si>
  <si>
    <t>DC factor</t>
  </si>
  <si>
    <t>DC to 05.06.2018</t>
  </si>
  <si>
    <t>Decay constant of sr-90=</t>
  </si>
  <si>
    <r>
      <t xml:space="preserve">Measured counts % </t>
    </r>
    <r>
      <rPr>
        <sz val="11"/>
        <color theme="1"/>
        <rFont val="Calibri"/>
        <family val="2"/>
      </rPr>
      <t>σ</t>
    </r>
  </si>
  <si>
    <t>Measured counts σ</t>
  </si>
  <si>
    <t>Total Bkgd corrected counts σ</t>
  </si>
  <si>
    <r>
      <t xml:space="preserve">Time elapsed (hrs) </t>
    </r>
    <r>
      <rPr>
        <sz val="11"/>
        <color theme="1"/>
        <rFont val="Calibri"/>
        <family val="2"/>
      </rPr>
      <t>σ</t>
    </r>
  </si>
  <si>
    <r>
      <t xml:space="preserve">Ingrowth factor </t>
    </r>
    <r>
      <rPr>
        <sz val="11"/>
        <color theme="1"/>
        <rFont val="Calibri"/>
        <family val="2"/>
      </rPr>
      <t>σ</t>
    </r>
  </si>
  <si>
    <r>
      <t xml:space="preserve">CPM of Sr-90 </t>
    </r>
    <r>
      <rPr>
        <sz val="11"/>
        <color theme="1"/>
        <rFont val="Calibri"/>
        <family val="2"/>
      </rPr>
      <t>σ</t>
    </r>
  </si>
  <si>
    <r>
      <t xml:space="preserve">CPM of Y-90 </t>
    </r>
    <r>
      <rPr>
        <sz val="11"/>
        <color theme="1"/>
        <rFont val="Calibri"/>
        <family val="2"/>
      </rPr>
      <t>σ</t>
    </r>
  </si>
  <si>
    <t>Weight of Eluate (g) σ</t>
  </si>
  <si>
    <t>Weight Corrected Sr-90 Activity (DPM) σ</t>
  </si>
  <si>
    <t>Cumulative Activity (DPM) σ</t>
  </si>
  <si>
    <t>Activity (bq)</t>
  </si>
  <si>
    <t>Activity (Bq) σ</t>
  </si>
  <si>
    <t>Activity (Bq) σ ^2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</si>
</sst>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00000"/>
    <numFmt numFmtId="166" formatCode="0.000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22" fontId="0" fillId="0" borderId="0" xfId="0" applyNumberFormat="1"/>
    <xf numFmtId="0" fontId="0" fillId="2" borderId="0" xfId="0" applyFill="1"/>
    <xf numFmtId="0" fontId="0" fillId="3" borderId="2" xfId="0" applyFill="1" applyBorder="1"/>
    <xf numFmtId="0" fontId="0" fillId="3" borderId="3" xfId="0" applyFill="1" applyBorder="1"/>
    <xf numFmtId="0" fontId="0" fillId="3" borderId="1" xfId="0" applyFill="1" applyBorder="1"/>
    <xf numFmtId="0" fontId="0" fillId="3" borderId="0" xfId="0" applyFill="1"/>
    <xf numFmtId="166" fontId="0" fillId="3" borderId="3" xfId="0" applyNumberFormat="1" applyFill="1" applyBorder="1"/>
    <xf numFmtId="166" fontId="0" fillId="3" borderId="1" xfId="0" applyNumberFormat="1" applyFill="1" applyBorder="1"/>
    <xf numFmtId="0" fontId="0" fillId="0" borderId="2" xfId="0" applyBorder="1"/>
    <xf numFmtId="0" fontId="0" fillId="0" borderId="1" xfId="0" applyBorder="1"/>
    <xf numFmtId="0" fontId="0" fillId="0" borderId="1" xfId="0" applyNumberFormat="1" applyBorder="1"/>
    <xf numFmtId="22" fontId="0" fillId="0" borderId="1" xfId="0" applyNumberFormat="1" applyBorder="1"/>
    <xf numFmtId="0" fontId="0" fillId="3" borderId="1" xfId="0" applyNumberFormat="1" applyFill="1" applyBorder="1"/>
    <xf numFmtId="164" fontId="0" fillId="0" borderId="1" xfId="0" applyNumberFormat="1" applyBorder="1"/>
    <xf numFmtId="165" fontId="0" fillId="0" borderId="1" xfId="0" applyNumberFormat="1" applyBorder="1"/>
    <xf numFmtId="0" fontId="0" fillId="0" borderId="3" xfId="0" applyBorder="1"/>
    <xf numFmtId="22" fontId="0" fillId="0" borderId="3" xfId="0" applyNumberFormat="1" applyBorder="1"/>
    <xf numFmtId="0" fontId="0" fillId="0" borderId="3" xfId="0" applyNumberFormat="1" applyBorder="1"/>
    <xf numFmtId="0" fontId="0" fillId="3" borderId="3" xfId="0" applyNumberFormat="1" applyFill="1" applyBorder="1"/>
    <xf numFmtId="164" fontId="0" fillId="0" borderId="3" xfId="0" applyNumberFormat="1" applyBorder="1"/>
    <xf numFmtId="165" fontId="0" fillId="0" borderId="3" xfId="0" applyNumberFormat="1" applyBorder="1"/>
    <xf numFmtId="0" fontId="0" fillId="0" borderId="2" xfId="0" applyNumberFormat="1" applyBorder="1"/>
    <xf numFmtId="0" fontId="0" fillId="0" borderId="5" xfId="0" applyBorder="1"/>
    <xf numFmtId="0" fontId="0" fillId="0" borderId="6" xfId="0" applyBorder="1"/>
    <xf numFmtId="22" fontId="0" fillId="0" borderId="7" xfId="0" applyNumberFormat="1" applyBorder="1"/>
    <xf numFmtId="22" fontId="0" fillId="0" borderId="8" xfId="0" applyNumberFormat="1" applyBorder="1"/>
    <xf numFmtId="0" fontId="0" fillId="0" borderId="4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7"/>
  <sheetViews>
    <sheetView tabSelected="1" topLeftCell="H1" workbookViewId="0">
      <selection activeCell="D23" sqref="D23"/>
    </sheetView>
  </sheetViews>
  <sheetFormatPr defaultRowHeight="15" x14ac:dyDescent="0.25"/>
  <cols>
    <col min="1" max="1" width="13.5703125" bestFit="1" customWidth="1"/>
    <col min="2" max="2" width="20.5703125" customWidth="1"/>
    <col min="3" max="3" width="16" customWidth="1"/>
    <col min="4" max="4" width="22.42578125" bestFit="1" customWidth="1"/>
    <col min="5" max="6" width="22.42578125" style="6" customWidth="1"/>
    <col min="7" max="7" width="31.5703125" bestFit="1" customWidth="1"/>
    <col min="8" max="8" width="27.42578125" bestFit="1" customWidth="1"/>
    <col min="9" max="9" width="17.7109375" bestFit="1" customWidth="1"/>
    <col min="10" max="10" width="19.28515625" bestFit="1" customWidth="1"/>
    <col min="11" max="12" width="17.7109375" customWidth="1"/>
    <col min="13" max="13" width="12.140625" bestFit="1" customWidth="1"/>
    <col min="14" max="14" width="13.85546875" bestFit="1" customWidth="1"/>
    <col min="15" max="15" width="12.7109375" bestFit="1" customWidth="1"/>
    <col min="16" max="16" width="13.140625" bestFit="1" customWidth="1"/>
    <col min="17" max="17" width="12" bestFit="1" customWidth="1"/>
    <col min="18" max="18" width="18.85546875" bestFit="1" customWidth="1"/>
    <col min="19" max="19" width="20.42578125" bestFit="1" customWidth="1"/>
    <col min="20" max="20" width="35.42578125" bestFit="1" customWidth="1"/>
    <col min="21" max="21" width="35.42578125" customWidth="1"/>
    <col min="22" max="22" width="24.140625" bestFit="1" customWidth="1"/>
    <col min="23" max="23" width="24.140625" customWidth="1"/>
    <col min="24" max="24" width="12" customWidth="1"/>
    <col min="25" max="25" width="13.5703125" bestFit="1" customWidth="1"/>
    <col min="26" max="26" width="16" bestFit="1" customWidth="1"/>
    <col min="27" max="27" width="20" bestFit="1" customWidth="1"/>
    <col min="28" max="28" width="10.5703125" bestFit="1" customWidth="1"/>
    <col min="29" max="29" width="15.42578125" bestFit="1" customWidth="1"/>
    <col min="30" max="30" width="24.140625" customWidth="1"/>
    <col min="31" max="31" width="22.140625" bestFit="1" customWidth="1"/>
  </cols>
  <sheetData>
    <row r="1" spans="1:31" ht="15.75" thickBot="1" x14ac:dyDescent="0.3">
      <c r="A1" s="27" t="s">
        <v>0</v>
      </c>
      <c r="B1" s="24" t="s">
        <v>1</v>
      </c>
      <c r="C1" s="9" t="s">
        <v>2</v>
      </c>
      <c r="D1" s="22" t="s">
        <v>26</v>
      </c>
      <c r="E1" s="3" t="s">
        <v>35</v>
      </c>
      <c r="F1" s="3" t="s">
        <v>36</v>
      </c>
      <c r="G1" s="9" t="s">
        <v>25</v>
      </c>
      <c r="H1" s="3" t="s">
        <v>37</v>
      </c>
      <c r="I1" s="9" t="s">
        <v>3</v>
      </c>
      <c r="J1" s="3" t="s">
        <v>38</v>
      </c>
      <c r="K1" s="9" t="s">
        <v>4</v>
      </c>
      <c r="L1" s="3" t="s">
        <v>39</v>
      </c>
      <c r="M1" s="9" t="s">
        <v>5</v>
      </c>
      <c r="N1" s="3" t="s">
        <v>40</v>
      </c>
      <c r="O1" s="9" t="s">
        <v>6</v>
      </c>
      <c r="P1" s="3" t="s">
        <v>41</v>
      </c>
      <c r="Q1" s="9" t="s">
        <v>7</v>
      </c>
      <c r="R1" s="9" t="s">
        <v>27</v>
      </c>
      <c r="S1" s="3" t="s">
        <v>42</v>
      </c>
      <c r="T1" s="9" t="s">
        <v>28</v>
      </c>
      <c r="U1" s="3" t="s">
        <v>43</v>
      </c>
      <c r="V1" s="9" t="s">
        <v>29</v>
      </c>
      <c r="W1" s="3" t="s">
        <v>44</v>
      </c>
      <c r="X1" s="9" t="s">
        <v>45</v>
      </c>
      <c r="Y1" s="3" t="s">
        <v>46</v>
      </c>
      <c r="Z1" s="3" t="s">
        <v>47</v>
      </c>
      <c r="AA1" s="9" t="s">
        <v>31</v>
      </c>
      <c r="AB1" s="9" t="s">
        <v>32</v>
      </c>
      <c r="AC1" s="23" t="s">
        <v>33</v>
      </c>
    </row>
    <row r="2" spans="1:31" x14ac:dyDescent="0.25">
      <c r="A2" s="28" t="s">
        <v>10</v>
      </c>
      <c r="B2" s="25">
        <v>43300.625</v>
      </c>
      <c r="C2" s="17">
        <v>43304.449305555558</v>
      </c>
      <c r="D2" s="18">
        <v>8.08</v>
      </c>
      <c r="E2" s="19">
        <v>6.5</v>
      </c>
      <c r="F2" s="4">
        <f>D2*(E2/100)</f>
        <v>0.5252</v>
      </c>
      <c r="G2" s="16">
        <f>D2-$D$17</f>
        <v>0.78000000000000025</v>
      </c>
      <c r="H2" s="4">
        <f>SQRT((F2^2)+(F$17^2))</f>
        <v>0.7246761362153441</v>
      </c>
      <c r="I2" s="20">
        <f t="shared" ref="I2:I17" si="0">(C2-B2)*24</f>
        <v>91.78333333338378</v>
      </c>
      <c r="J2" s="7">
        <f>1/60</f>
        <v>1.6666666666666666E-2</v>
      </c>
      <c r="K2" s="16">
        <f>1-EXP(-$AE$3*I2)</f>
        <v>0.64518044252476181</v>
      </c>
      <c r="L2" s="4">
        <f>K2*SQRT(((J2/I2)^2))</f>
        <v>1.1715642682484241E-4</v>
      </c>
      <c r="M2" s="16">
        <f>G2/((1+K2))</f>
        <v>0.47411212766605715</v>
      </c>
      <c r="N2" s="4">
        <f t="shared" ref="N2:N17" si="1">M2*SQRT(((H2/G2)^2)+((L2/K2)^2))</f>
        <v>0.44048429663118766</v>
      </c>
      <c r="O2" s="16">
        <f>M2*K2</f>
        <v>0.3058878723339431</v>
      </c>
      <c r="P2" s="4">
        <f t="shared" ref="P2:P17" si="2">O2*SQRT(((N2/M2)^2)+((L2/K2)^2))</f>
        <v>0.28419185885387932</v>
      </c>
      <c r="Q2" s="16">
        <f>M2+O2</f>
        <v>0.78000000000000025</v>
      </c>
      <c r="R2" s="16">
        <v>0.97879999999999967</v>
      </c>
      <c r="S2" s="4">
        <v>1.4142135623730951E-4</v>
      </c>
      <c r="T2" s="16">
        <f>M2/R2</f>
        <v>0.48438100497145209</v>
      </c>
      <c r="U2" s="4">
        <f>T2*SQRT(((S2/R2)^2)+((N2/M2)^2))</f>
        <v>0.45002482831805313</v>
      </c>
      <c r="V2" s="16">
        <f>SUM($T$2:T2)</f>
        <v>0.48438100497145209</v>
      </c>
      <c r="W2" s="4">
        <f>SQRT((U2^2))</f>
        <v>0.45002482831805313</v>
      </c>
      <c r="X2" s="16">
        <f>M2/60</f>
        <v>7.9018687944342851E-3</v>
      </c>
      <c r="Y2" s="4">
        <f>X2*SQRT(((N2/M2)^2))</f>
        <v>7.3414049438531269E-3</v>
      </c>
      <c r="Z2" s="4">
        <f>Y2^2</f>
        <v>5.3896226549631133E-5</v>
      </c>
      <c r="AA2" s="16">
        <f>(C2-$AE$6)*24</f>
        <v>94.78333333338378</v>
      </c>
      <c r="AB2" s="21">
        <f>EXP(-$AE$9*AA2)</f>
        <v>0.99973962199299393</v>
      </c>
      <c r="AC2" s="16">
        <f>X2/AB2</f>
        <v>7.9039268031428096E-3</v>
      </c>
      <c r="AE2" t="s">
        <v>8</v>
      </c>
    </row>
    <row r="3" spans="1:31" x14ac:dyDescent="0.25">
      <c r="A3" s="29" t="s">
        <v>11</v>
      </c>
      <c r="B3" s="26">
        <v>43300.625115740739</v>
      </c>
      <c r="C3" s="12">
        <v>43304.472222222219</v>
      </c>
      <c r="D3" s="11">
        <v>7.33</v>
      </c>
      <c r="E3" s="13">
        <v>6.82</v>
      </c>
      <c r="F3" s="5">
        <f t="shared" ref="F3:F17" si="3">D3*(E3/100)</f>
        <v>0.49990599999999996</v>
      </c>
      <c r="G3" s="10">
        <f t="shared" ref="G3:G17" si="4">D3-$D$17</f>
        <v>3.0000000000000249E-2</v>
      </c>
      <c r="H3" s="5">
        <f>SQRT((F3^2)+(F$17^2))</f>
        <v>0.70655960204076196</v>
      </c>
      <c r="I3" s="14">
        <f t="shared" si="0"/>
        <v>92.330555555527098</v>
      </c>
      <c r="J3" s="8">
        <f t="shared" ref="J3:J17" si="5">1/60</f>
        <v>1.6666666666666666E-2</v>
      </c>
      <c r="K3" s="10">
        <f>1-EXP(-$AE$3*I3)</f>
        <v>0.64736562447095236</v>
      </c>
      <c r="L3" s="5">
        <f t="shared" ref="L3:L17" si="6">K3*SQRT(((J3/I3)^2))</f>
        <v>1.168565163460667E-4</v>
      </c>
      <c r="M3" s="10">
        <f>G3/((1+K3))</f>
        <v>1.8210893534721339E-2</v>
      </c>
      <c r="N3" s="5">
        <f t="shared" si="1"/>
        <v>0.42890272296924026</v>
      </c>
      <c r="O3" s="10">
        <f>M3*K3</f>
        <v>1.1789106465278908E-2</v>
      </c>
      <c r="P3" s="5">
        <f t="shared" si="2"/>
        <v>0.27765687910042919</v>
      </c>
      <c r="Q3" s="10">
        <f t="shared" ref="Q3:Q17" si="7">M3+O3</f>
        <v>3.0000000000000249E-2</v>
      </c>
      <c r="R3" s="10">
        <v>1.0229000000000008</v>
      </c>
      <c r="S3" s="5">
        <v>1.4142135623730951E-4</v>
      </c>
      <c r="T3" s="10">
        <f>M3/R3</f>
        <v>1.7803200249018793E-2</v>
      </c>
      <c r="U3" s="5">
        <f t="shared" ref="U3:U16" si="8">T3*SQRT(((S3/R3)^2)+((N3/M3)^2))</f>
        <v>0.41930073611949337</v>
      </c>
      <c r="V3" s="10">
        <f>SUM($T$2:T3)</f>
        <v>0.50218420522047091</v>
      </c>
      <c r="W3" s="5">
        <f>SQRT((U3^2)+(U2^2))</f>
        <v>0.61508979296769528</v>
      </c>
      <c r="X3" s="10">
        <f t="shared" ref="X3:X17" si="9">M3/60</f>
        <v>3.0351489224535562E-4</v>
      </c>
      <c r="Y3" s="5">
        <f t="shared" ref="Y3:Y16" si="10">X3*SQRT(((N3/M3)^2))</f>
        <v>7.1483787161540037E-3</v>
      </c>
      <c r="Z3" s="5">
        <f t="shared" ref="Z3:Z16" si="11">Y3^2</f>
        <v>5.1099318269563563E-5</v>
      </c>
      <c r="AA3" s="10">
        <f>(C3-$AE$6)*24</f>
        <v>95.333333333255723</v>
      </c>
      <c r="AB3" s="15">
        <f t="shared" ref="AB3:AB16" si="12">EXP(-$AE$9*AA3)</f>
        <v>0.9997381112933289</v>
      </c>
      <c r="AC3" s="10">
        <f t="shared" ref="AC3:AC16" si="13">X3/AB3</f>
        <v>3.0359440019017404E-4</v>
      </c>
      <c r="AE3">
        <f>LN(2)/61.4</f>
        <v>1.1289042028663604E-2</v>
      </c>
    </row>
    <row r="4" spans="1:31" x14ac:dyDescent="0.25">
      <c r="A4" s="29" t="s">
        <v>12</v>
      </c>
      <c r="B4" s="26">
        <v>43300.625231481485</v>
      </c>
      <c r="C4" s="12">
        <v>43304.495138888888</v>
      </c>
      <c r="D4" s="11">
        <v>6.55</v>
      </c>
      <c r="E4" s="13">
        <v>7.22</v>
      </c>
      <c r="F4" s="5">
        <f t="shared" si="3"/>
        <v>0.47291</v>
      </c>
      <c r="G4" s="10">
        <f t="shared" si="4"/>
        <v>-0.75</v>
      </c>
      <c r="H4" s="5">
        <f t="shared" ref="H4:H17" si="14">SQRT((F4^2)+(F$17^2))</f>
        <v>0.68772402204663463</v>
      </c>
      <c r="I4" s="14">
        <f t="shared" si="0"/>
        <v>92.877777777670417</v>
      </c>
      <c r="J4" s="8">
        <f t="shared" si="5"/>
        <v>1.6666666666666666E-2</v>
      </c>
      <c r="K4" s="10">
        <f>1-EXP(-$AE$3*I4)</f>
        <v>0.64953734881584291</v>
      </c>
      <c r="L4" s="5">
        <f t="shared" si="6"/>
        <v>1.1655772499400534E-4</v>
      </c>
      <c r="M4" s="10">
        <f>G4/((1+K4))</f>
        <v>-0.45467294240921807</v>
      </c>
      <c r="N4" s="5">
        <f t="shared" si="1"/>
        <v>-0.4169193475427001</v>
      </c>
      <c r="O4" s="10">
        <f>M4*K4</f>
        <v>-0.29532705759078193</v>
      </c>
      <c r="P4" s="5">
        <f t="shared" si="2"/>
        <v>-0.2708046928584586</v>
      </c>
      <c r="Q4" s="10">
        <f t="shared" si="7"/>
        <v>-0.75</v>
      </c>
      <c r="R4" s="10">
        <v>1.0179999999999998</v>
      </c>
      <c r="S4" s="5">
        <v>1.4142135623730951E-4</v>
      </c>
      <c r="T4" s="10">
        <f>M4/R4</f>
        <v>-0.44663353871239503</v>
      </c>
      <c r="U4" s="5">
        <f t="shared" si="8"/>
        <v>-0.40954749737461199</v>
      </c>
      <c r="V4" s="10">
        <f>SUM($T$2:T4)</f>
        <v>5.5550666508075885E-2</v>
      </c>
      <c r="W4" s="5">
        <f>SQRT((U4^2)+(U3^2)+(U2^2))</f>
        <v>0.73896184341199245</v>
      </c>
      <c r="X4" s="10">
        <f t="shared" si="9"/>
        <v>-7.5778823734869681E-3</v>
      </c>
      <c r="Y4" s="5">
        <f t="shared" si="10"/>
        <v>-6.9486557923783355E-3</v>
      </c>
      <c r="Z4" s="5">
        <f t="shared" si="11"/>
        <v>4.8283817320952994E-5</v>
      </c>
      <c r="AA4" s="10">
        <f>(C4-$AE$6)*24</f>
        <v>95.883333333302289</v>
      </c>
      <c r="AB4" s="15">
        <f t="shared" si="12"/>
        <v>0.99973660059594616</v>
      </c>
      <c r="AC4" s="10">
        <f t="shared" si="13"/>
        <v>-7.579878909074419E-3</v>
      </c>
    </row>
    <row r="5" spans="1:31" x14ac:dyDescent="0.25">
      <c r="A5" s="29" t="s">
        <v>13</v>
      </c>
      <c r="B5" s="26">
        <v>43300.625347048612</v>
      </c>
      <c r="C5" s="12">
        <v>43304.518055555556</v>
      </c>
      <c r="D5" s="11">
        <v>7.47</v>
      </c>
      <c r="E5" s="13">
        <v>6.76</v>
      </c>
      <c r="F5" s="5">
        <f t="shared" si="3"/>
        <v>0.50497199999999998</v>
      </c>
      <c r="G5" s="10">
        <f t="shared" si="4"/>
        <v>0.16999999999999993</v>
      </c>
      <c r="H5" s="5">
        <f t="shared" si="14"/>
        <v>0.71015292943421704</v>
      </c>
      <c r="I5" s="14">
        <f t="shared" si="0"/>
        <v>93.42500416666735</v>
      </c>
      <c r="J5" s="8">
        <f t="shared" si="5"/>
        <v>1.6666666666666666E-2</v>
      </c>
      <c r="K5" s="10">
        <f>1-EXP(-$AE$3*I5)</f>
        <v>0.65169571482320499</v>
      </c>
      <c r="L5" s="5">
        <f t="shared" si="6"/>
        <v>1.1626004562629361E-4</v>
      </c>
      <c r="M5" s="10">
        <f>G5/((1+K5))</f>
        <v>0.10292452688127031</v>
      </c>
      <c r="N5" s="5">
        <f t="shared" si="1"/>
        <v>0.42995384907068163</v>
      </c>
      <c r="O5" s="10">
        <f>M5*K5</f>
        <v>6.7075473118729634E-2</v>
      </c>
      <c r="P5" s="5">
        <f t="shared" si="2"/>
        <v>0.28019908126661286</v>
      </c>
      <c r="Q5" s="10">
        <f t="shared" si="7"/>
        <v>0.16999999999999993</v>
      </c>
      <c r="R5" s="10">
        <v>0.86490000000000045</v>
      </c>
      <c r="S5" s="5">
        <v>1.4142135623730951E-4</v>
      </c>
      <c r="T5" s="10">
        <f>M5/R5</f>
        <v>0.11900164976444705</v>
      </c>
      <c r="U5" s="5">
        <f t="shared" si="8"/>
        <v>0.49711394311487039</v>
      </c>
      <c r="V5" s="10">
        <f>SUM($T$2:T5)</f>
        <v>0.17455231627252293</v>
      </c>
      <c r="W5" s="5">
        <f>SQRT((U5^2)+(U4^2)+(U3^2)+(U2^2))</f>
        <v>0.89061039655848651</v>
      </c>
      <c r="X5" s="10">
        <f t="shared" si="9"/>
        <v>1.715408781354505E-3</v>
      </c>
      <c r="Y5" s="5">
        <f t="shared" si="10"/>
        <v>7.1658974845113599E-3</v>
      </c>
      <c r="Z5" s="5">
        <f t="shared" si="11"/>
        <v>5.1350086758526234E-5</v>
      </c>
      <c r="AA5" s="10">
        <f>(C5-$AE$6)*24</f>
        <v>96.433333333348855</v>
      </c>
      <c r="AB5" s="15">
        <f t="shared" si="12"/>
        <v>0.99973508990084614</v>
      </c>
      <c r="AC5" s="10">
        <f t="shared" si="13"/>
        <v>1.7158633308796229E-3</v>
      </c>
    </row>
    <row r="6" spans="1:31" x14ac:dyDescent="0.25">
      <c r="A6" s="29" t="s">
        <v>14</v>
      </c>
      <c r="B6" s="26">
        <v>43300.625462731485</v>
      </c>
      <c r="C6" s="12">
        <v>43304.540277777778</v>
      </c>
      <c r="D6" s="11">
        <v>23.98</v>
      </c>
      <c r="E6" s="13">
        <v>3.77</v>
      </c>
      <c r="F6" s="5">
        <f t="shared" si="3"/>
        <v>0.90404599999999991</v>
      </c>
      <c r="G6" s="10">
        <f t="shared" si="4"/>
        <v>16.68</v>
      </c>
      <c r="H6" s="5">
        <f t="shared" si="14"/>
        <v>1.0327727884273481</v>
      </c>
      <c r="I6" s="14">
        <f t="shared" si="0"/>
        <v>93.955561111040879</v>
      </c>
      <c r="J6" s="8">
        <f t="shared" si="5"/>
        <v>1.6666666666666666E-2</v>
      </c>
      <c r="K6" s="10">
        <f>1-EXP(-$AE$3*I6)</f>
        <v>0.65377564119282261</v>
      </c>
      <c r="L6" s="5">
        <f t="shared" si="6"/>
        <v>1.1597249335427155E-4</v>
      </c>
      <c r="M6" s="10">
        <f>G6/((1+K6))</f>
        <v>10.086011418071909</v>
      </c>
      <c r="N6" s="5">
        <f t="shared" si="1"/>
        <v>0.62449645597072334</v>
      </c>
      <c r="O6" s="10">
        <f>M6*K6</f>
        <v>6.5939885819280919</v>
      </c>
      <c r="P6" s="5">
        <f t="shared" si="2"/>
        <v>0.40828224648226386</v>
      </c>
      <c r="Q6" s="10">
        <f t="shared" si="7"/>
        <v>16.68</v>
      </c>
      <c r="R6" s="10">
        <v>0.81669999999999998</v>
      </c>
      <c r="S6" s="5">
        <v>1.4142135623730951E-4</v>
      </c>
      <c r="T6" s="10">
        <f>M6/R6</f>
        <v>12.349713992986297</v>
      </c>
      <c r="U6" s="5">
        <f t="shared" si="8"/>
        <v>0.7646613177183047</v>
      </c>
      <c r="V6" s="10">
        <f>SUM($T$2:T6)</f>
        <v>12.52426630925882</v>
      </c>
      <c r="W6" s="5">
        <f>SQRT((U6^2)+(U5^2)+(U4^2)+(U3^2)+(U2^2))</f>
        <v>1.173837215832229</v>
      </c>
      <c r="X6" s="10">
        <f t="shared" si="9"/>
        <v>0.16810019030119847</v>
      </c>
      <c r="Y6" s="5">
        <f t="shared" si="10"/>
        <v>1.0408274266178722E-2</v>
      </c>
      <c r="Z6" s="5">
        <f t="shared" si="11"/>
        <v>1.0833217319999821E-4</v>
      </c>
      <c r="AA6" s="10">
        <f>(C6-$AE$6)*24</f>
        <v>96.966666666674428</v>
      </c>
      <c r="AB6" s="15">
        <f t="shared" si="12"/>
        <v>0.99973362498656593</v>
      </c>
      <c r="AC6" s="10">
        <f t="shared" si="13"/>
        <v>0.1681449799224842</v>
      </c>
      <c r="AE6" s="1">
        <v>43300.5</v>
      </c>
    </row>
    <row r="7" spans="1:31" x14ac:dyDescent="0.25">
      <c r="A7" s="29" t="s">
        <v>15</v>
      </c>
      <c r="B7" s="26">
        <v>43300.62557841435</v>
      </c>
      <c r="C7" s="12">
        <v>43304.563194444447</v>
      </c>
      <c r="D7" s="11">
        <v>105.87</v>
      </c>
      <c r="E7" s="13">
        <v>1.8</v>
      </c>
      <c r="F7" s="5">
        <f t="shared" si="3"/>
        <v>1.9056600000000004</v>
      </c>
      <c r="G7" s="10">
        <f t="shared" si="4"/>
        <v>98.570000000000007</v>
      </c>
      <c r="H7" s="5">
        <f t="shared" si="14"/>
        <v>1.9699899740861631</v>
      </c>
      <c r="I7" s="14">
        <f t="shared" si="0"/>
        <v>94.502784722310025</v>
      </c>
      <c r="J7" s="8">
        <f t="shared" si="5"/>
        <v>1.6666666666666666E-2</v>
      </c>
      <c r="K7" s="10">
        <f>1-EXP(-$AE$3*I7)</f>
        <v>0.65590789438143771</v>
      </c>
      <c r="L7" s="5">
        <f t="shared" si="6"/>
        <v>1.1567699588761294E-4</v>
      </c>
      <c r="M7" s="10">
        <f>G7/((1+K7))</f>
        <v>59.526257670762959</v>
      </c>
      <c r="N7" s="5">
        <f t="shared" si="1"/>
        <v>1.1897199601290791</v>
      </c>
      <c r="O7" s="10">
        <f>M7*K7</f>
        <v>39.043742329237034</v>
      </c>
      <c r="P7" s="5">
        <f t="shared" si="2"/>
        <v>0.78037709376563136</v>
      </c>
      <c r="Q7" s="10">
        <f t="shared" si="7"/>
        <v>98.57</v>
      </c>
      <c r="R7" s="10">
        <v>0.81229999999999958</v>
      </c>
      <c r="S7" s="5">
        <v>1.4142135623730951E-4</v>
      </c>
      <c r="T7" s="10">
        <f>M7/R7</f>
        <v>73.281124794734694</v>
      </c>
      <c r="U7" s="5">
        <f t="shared" si="8"/>
        <v>1.4646868114996294</v>
      </c>
      <c r="V7" s="10">
        <f>SUM($T$2:T7)</f>
        <v>85.805391103993514</v>
      </c>
      <c r="W7" s="5">
        <f>SQRT((U7^2)+(U6^2)+(U5^2)+(U4^2)+(U3^2)+(U2^2))</f>
        <v>1.8770192500487866</v>
      </c>
      <c r="X7" s="10">
        <f t="shared" si="9"/>
        <v>0.99210429451271598</v>
      </c>
      <c r="Y7" s="5">
        <f t="shared" si="10"/>
        <v>1.9828666002151316E-2</v>
      </c>
      <c r="Z7" s="5">
        <f t="shared" si="11"/>
        <v>3.9317599542487144E-4</v>
      </c>
      <c r="AA7" s="10">
        <f>(C7-$AE$6)*24</f>
        <v>97.516666666720994</v>
      </c>
      <c r="AB7" s="15">
        <f t="shared" si="12"/>
        <v>0.99973211429596232</v>
      </c>
      <c r="AC7" s="10">
        <f t="shared" si="13"/>
        <v>0.99237013628534076</v>
      </c>
    </row>
    <row r="8" spans="1:31" x14ac:dyDescent="0.25">
      <c r="A8" s="29" t="s">
        <v>16</v>
      </c>
      <c r="B8" s="26">
        <v>43300.625694097223</v>
      </c>
      <c r="C8" s="12">
        <v>43304.586111111108</v>
      </c>
      <c r="D8" s="11">
        <v>187.21</v>
      </c>
      <c r="E8" s="13">
        <v>1.35</v>
      </c>
      <c r="F8" s="5">
        <f t="shared" si="3"/>
        <v>2.5273350000000003</v>
      </c>
      <c r="G8" s="10">
        <f t="shared" si="4"/>
        <v>179.91</v>
      </c>
      <c r="H8" s="5">
        <f t="shared" si="14"/>
        <v>2.5761876221705986</v>
      </c>
      <c r="I8" s="14">
        <f t="shared" si="0"/>
        <v>95.050008333229925</v>
      </c>
      <c r="J8" s="8">
        <f t="shared" si="5"/>
        <v>1.6666666666666666E-2</v>
      </c>
      <c r="K8" s="10">
        <f>1-EXP(-$AE$3*I8)</f>
        <v>0.65802701589975998</v>
      </c>
      <c r="L8" s="5">
        <f t="shared" si="6"/>
        <v>1.1538259831828454E-4</v>
      </c>
      <c r="M8" s="10">
        <f>G8/((1+K8))</f>
        <v>108.5084852506872</v>
      </c>
      <c r="N8" s="5">
        <f t="shared" si="1"/>
        <v>1.5538834656681209</v>
      </c>
      <c r="O8" s="10">
        <f>M8*K8</f>
        <v>71.401514749312824</v>
      </c>
      <c r="P8" s="5">
        <f t="shared" si="2"/>
        <v>1.0225739477509175</v>
      </c>
      <c r="Q8" s="10">
        <f t="shared" si="7"/>
        <v>179.91000000000003</v>
      </c>
      <c r="R8" s="10">
        <v>0.8329999999999993</v>
      </c>
      <c r="S8" s="5">
        <v>1.4142135623730951E-4</v>
      </c>
      <c r="T8" s="10">
        <f>M8/R8</f>
        <v>130.26228721571104</v>
      </c>
      <c r="U8" s="5">
        <f t="shared" si="8"/>
        <v>1.8655374080490594</v>
      </c>
      <c r="V8" s="10">
        <f>SUM($T$2:T8)</f>
        <v>216.06767831970456</v>
      </c>
      <c r="W8" s="5">
        <f>SQRT((U8^2)+(U7^2)+(U6^2)+(U5^2)+(U4^2)+(U3^2)+(U2^2))</f>
        <v>2.6463996459121799</v>
      </c>
      <c r="X8" s="10">
        <f t="shared" si="9"/>
        <v>1.8084747541781201</v>
      </c>
      <c r="Y8" s="5">
        <f t="shared" si="10"/>
        <v>2.5898057761135348E-2</v>
      </c>
      <c r="Z8" s="5">
        <f t="shared" si="11"/>
        <v>6.7070939579910282E-4</v>
      </c>
      <c r="AA8" s="10">
        <f>(C8-$AE$6)*24</f>
        <v>98.066666666592937</v>
      </c>
      <c r="AB8" s="15">
        <f t="shared" si="12"/>
        <v>0.9997306036076421</v>
      </c>
      <c r="AC8" s="10">
        <f t="shared" si="13"/>
        <v>1.808962082036933</v>
      </c>
      <c r="AE8" t="s">
        <v>34</v>
      </c>
    </row>
    <row r="9" spans="1:31" x14ac:dyDescent="0.25">
      <c r="A9" s="29" t="s">
        <v>17</v>
      </c>
      <c r="B9" s="26">
        <v>43300.625809780089</v>
      </c>
      <c r="C9" s="12">
        <v>43304.609027777777</v>
      </c>
      <c r="D9" s="11">
        <v>171.21</v>
      </c>
      <c r="E9" s="13">
        <v>1.41</v>
      </c>
      <c r="F9" s="5">
        <f t="shared" si="3"/>
        <v>2.4140610000000002</v>
      </c>
      <c r="G9" s="10">
        <f t="shared" si="4"/>
        <v>163.91</v>
      </c>
      <c r="H9" s="5">
        <f t="shared" si="14"/>
        <v>2.4651594216441666</v>
      </c>
      <c r="I9" s="14">
        <f t="shared" si="0"/>
        <v>95.597231944499072</v>
      </c>
      <c r="J9" s="8">
        <f t="shared" si="5"/>
        <v>1.6666666666666666E-2</v>
      </c>
      <c r="K9" s="10">
        <f>1-EXP(-$AE$3*I9)</f>
        <v>0.66013308662303349</v>
      </c>
      <c r="L9" s="5">
        <f t="shared" si="6"/>
        <v>1.1508929585713794E-4</v>
      </c>
      <c r="M9" s="10">
        <f>G9/((1+K9))</f>
        <v>98.733048163878351</v>
      </c>
      <c r="N9" s="5">
        <f t="shared" si="1"/>
        <v>1.4850165130604589</v>
      </c>
      <c r="O9" s="10">
        <f>M9*K9</f>
        <v>65.176951836121646</v>
      </c>
      <c r="P9" s="5">
        <f t="shared" si="2"/>
        <v>0.98037438927620857</v>
      </c>
      <c r="Q9" s="10">
        <f t="shared" si="7"/>
        <v>163.91</v>
      </c>
      <c r="R9" s="10">
        <v>0.77660000000000018</v>
      </c>
      <c r="S9" s="5">
        <v>1.4142135623730951E-4</v>
      </c>
      <c r="T9" s="10">
        <f>M9/R9</f>
        <v>127.13500922466949</v>
      </c>
      <c r="U9" s="5">
        <f t="shared" si="8"/>
        <v>1.9123427140148173</v>
      </c>
      <c r="V9" s="10">
        <f>SUM($T$2:T9)</f>
        <v>343.20268754437404</v>
      </c>
      <c r="W9" s="5">
        <f>SQRT((U9^2)+(U8^2)+(U7^2)+(U6^2)+(U5^2)+(U4^2)+(U3^2)+(U2^2))</f>
        <v>3.2650399295766155</v>
      </c>
      <c r="X9" s="10">
        <f t="shared" si="9"/>
        <v>1.6455508027313059</v>
      </c>
      <c r="Y9" s="5">
        <f t="shared" si="10"/>
        <v>2.4750275217674315E-2</v>
      </c>
      <c r="Z9" s="5">
        <f t="shared" si="11"/>
        <v>6.1257612335062332E-4</v>
      </c>
      <c r="AA9" s="10">
        <f>(C9-$AE$6)*24</f>
        <v>98.616666666639503</v>
      </c>
      <c r="AB9" s="15">
        <f t="shared" si="12"/>
        <v>0.99972909292160417</v>
      </c>
      <c r="AC9" s="10">
        <f t="shared" si="13"/>
        <v>1.6459967148923866</v>
      </c>
      <c r="AE9">
        <f>LN(2)/252288</f>
        <v>2.7474441137110973E-6</v>
      </c>
    </row>
    <row r="10" spans="1:31" x14ac:dyDescent="0.25">
      <c r="A10" s="29" t="s">
        <v>18</v>
      </c>
      <c r="B10" s="26">
        <v>43300.625925462962</v>
      </c>
      <c r="C10" s="12">
        <v>43304.631944444445</v>
      </c>
      <c r="D10" s="11">
        <v>173.56</v>
      </c>
      <c r="E10" s="13">
        <v>1.4</v>
      </c>
      <c r="F10" s="5">
        <f t="shared" si="3"/>
        <v>2.42984</v>
      </c>
      <c r="G10" s="10">
        <f t="shared" si="4"/>
        <v>166.26</v>
      </c>
      <c r="H10" s="5">
        <f t="shared" si="14"/>
        <v>2.4806134096227086</v>
      </c>
      <c r="I10" s="14">
        <f t="shared" si="0"/>
        <v>96.144455555593595</v>
      </c>
      <c r="J10" s="8">
        <f t="shared" si="5"/>
        <v>1.6666666666666666E-2</v>
      </c>
      <c r="K10" s="10">
        <f>1-EXP(-$AE$3*I10)</f>
        <v>0.66222618692371404</v>
      </c>
      <c r="L10" s="5">
        <f t="shared" si="6"/>
        <v>1.1479708373836754E-4</v>
      </c>
      <c r="M10" s="10">
        <f>G10/((1+K10))</f>
        <v>100.02248870094976</v>
      </c>
      <c r="N10" s="5">
        <f t="shared" si="1"/>
        <v>1.4924448034433992</v>
      </c>
      <c r="O10" s="10">
        <f>M10*K10</f>
        <v>66.23751129905024</v>
      </c>
      <c r="P10" s="5">
        <f t="shared" si="2"/>
        <v>0.98840272860042888</v>
      </c>
      <c r="Q10" s="10">
        <f t="shared" si="7"/>
        <v>166.26</v>
      </c>
      <c r="R10" s="10">
        <v>0.82289999999999974</v>
      </c>
      <c r="S10" s="5">
        <v>1.4142135623730951E-4</v>
      </c>
      <c r="T10" s="10">
        <f>M10/R10</f>
        <v>121.5487771308176</v>
      </c>
      <c r="U10" s="5">
        <f t="shared" si="8"/>
        <v>1.8137608370413003</v>
      </c>
      <c r="V10" s="10">
        <f>SUM($T$2:T10)</f>
        <v>464.75146467519164</v>
      </c>
      <c r="W10" s="5">
        <f>SQRT((U10^2)+(U9^2)+(U8^2)+(U7^2)+(U6^2)+(U5^2)+(U4^2)+(U3^2)+(U2^2))</f>
        <v>3.7349985429333743</v>
      </c>
      <c r="X10" s="10">
        <f t="shared" si="9"/>
        <v>1.6670414783491627</v>
      </c>
      <c r="Y10" s="5">
        <f t="shared" si="10"/>
        <v>2.4874080057389988E-2</v>
      </c>
      <c r="Z10" s="5">
        <f t="shared" si="11"/>
        <v>6.1871985870144632E-4</v>
      </c>
      <c r="AA10" s="10">
        <f>(C10-$AE$6)*24</f>
        <v>99.166666666686069</v>
      </c>
      <c r="AB10" s="15">
        <f t="shared" si="12"/>
        <v>0.99972758223784908</v>
      </c>
      <c r="AC10" s="10">
        <f t="shared" si="13"/>
        <v>1.6674957338053622</v>
      </c>
    </row>
    <row r="11" spans="1:31" x14ac:dyDescent="0.25">
      <c r="A11" s="29" t="s">
        <v>19</v>
      </c>
      <c r="B11" s="26">
        <v>43300.626041145835</v>
      </c>
      <c r="C11" s="12">
        <v>43304.654166666667</v>
      </c>
      <c r="D11" s="11">
        <v>158.86000000000001</v>
      </c>
      <c r="E11" s="13">
        <v>1.47</v>
      </c>
      <c r="F11" s="5">
        <f t="shared" si="3"/>
        <v>2.335242</v>
      </c>
      <c r="G11" s="10">
        <f t="shared" si="4"/>
        <v>151.56</v>
      </c>
      <c r="H11" s="5">
        <f t="shared" si="14"/>
        <v>2.3880275670444009</v>
      </c>
      <c r="I11" s="14">
        <f t="shared" si="0"/>
        <v>96.675012499967124</v>
      </c>
      <c r="J11" s="8">
        <f t="shared" si="5"/>
        <v>1.6666666666666666E-2</v>
      </c>
      <c r="K11" s="10">
        <f>1-EXP(-$AE$3*I11)</f>
        <v>0.66424322975288019</v>
      </c>
      <c r="L11" s="5">
        <f t="shared" si="6"/>
        <v>1.1451480801086115E-4</v>
      </c>
      <c r="M11" s="10">
        <f>G11/((1+K11))</f>
        <v>91.06841914117615</v>
      </c>
      <c r="N11" s="5">
        <f t="shared" si="1"/>
        <v>1.4349888676392755</v>
      </c>
      <c r="O11" s="10">
        <f>M11*K11</f>
        <v>60.491580858823859</v>
      </c>
      <c r="P11" s="5">
        <f t="shared" si="2"/>
        <v>0.9532386880752296</v>
      </c>
      <c r="Q11" s="10">
        <f t="shared" si="7"/>
        <v>151.56</v>
      </c>
      <c r="R11" s="10">
        <v>0.79900000000000038</v>
      </c>
      <c r="S11" s="5">
        <v>1.4142135623730951E-4</v>
      </c>
      <c r="T11" s="10">
        <f>M11/R11</f>
        <v>113.97799642199763</v>
      </c>
      <c r="U11" s="5">
        <f t="shared" si="8"/>
        <v>1.7960943616883698</v>
      </c>
      <c r="V11" s="10">
        <f>SUM($T$2:T11)</f>
        <v>578.7294610971893</v>
      </c>
      <c r="W11" s="5">
        <f>SQRT((U11^2)+(U10^2)+(U9^2)+(U8^2)+(U7^2)+(U6^2)+(U5^2)+(U4^2)+(U3^2)+(U2^2))</f>
        <v>4.1444142012838414</v>
      </c>
      <c r="X11" s="10">
        <f t="shared" si="9"/>
        <v>1.5178069856862693</v>
      </c>
      <c r="Y11" s="5">
        <f t="shared" si="10"/>
        <v>2.3916481127321258E-2</v>
      </c>
      <c r="Z11" s="5">
        <f t="shared" si="11"/>
        <v>5.7199806951351386E-4</v>
      </c>
      <c r="AA11" s="10">
        <f>(C11-$AE$6)*24</f>
        <v>99.700000000011642</v>
      </c>
      <c r="AB11" s="15">
        <f t="shared" si="12"/>
        <v>0.99972611733456973</v>
      </c>
      <c r="AC11" s="10">
        <f t="shared" si="13"/>
        <v>1.5182228005936129</v>
      </c>
    </row>
    <row r="12" spans="1:31" x14ac:dyDescent="0.25">
      <c r="A12" s="29" t="s">
        <v>20</v>
      </c>
      <c r="B12" s="26">
        <v>43300.626156828701</v>
      </c>
      <c r="C12" s="12">
        <v>43304.677083333336</v>
      </c>
      <c r="D12" s="11">
        <v>97.2</v>
      </c>
      <c r="E12" s="13">
        <v>1.87</v>
      </c>
      <c r="F12" s="5">
        <f t="shared" si="3"/>
        <v>1.8176400000000001</v>
      </c>
      <c r="G12" s="10">
        <f t="shared" si="4"/>
        <v>89.9</v>
      </c>
      <c r="H12" s="5">
        <f t="shared" si="14"/>
        <v>1.8849762948111577</v>
      </c>
      <c r="I12" s="14">
        <f t="shared" si="0"/>
        <v>97.222236111236271</v>
      </c>
      <c r="J12" s="8">
        <f t="shared" si="5"/>
        <v>1.6666666666666666E-2</v>
      </c>
      <c r="K12" s="10">
        <f>1-EXP(-$AE$3*I12)</f>
        <v>0.66631101737598386</v>
      </c>
      <c r="L12" s="5">
        <f t="shared" si="6"/>
        <v>1.142247295179174E-4</v>
      </c>
      <c r="M12" s="10">
        <f>G12/((1+K12))</f>
        <v>53.951512690331754</v>
      </c>
      <c r="N12" s="5">
        <f t="shared" si="1"/>
        <v>1.1312649772107022</v>
      </c>
      <c r="O12" s="10">
        <f>M12*K12</f>
        <v>35.948487309668252</v>
      </c>
      <c r="P12" s="5">
        <f t="shared" si="2"/>
        <v>0.75379950909192805</v>
      </c>
      <c r="Q12" s="10">
        <f t="shared" si="7"/>
        <v>89.9</v>
      </c>
      <c r="R12" s="10">
        <v>0.80820000000000025</v>
      </c>
      <c r="S12" s="5">
        <v>1.4142135623730951E-4</v>
      </c>
      <c r="T12" s="10">
        <f>M12/R12</f>
        <v>66.755150569576514</v>
      </c>
      <c r="U12" s="5">
        <f t="shared" si="8"/>
        <v>1.3997826877872921</v>
      </c>
      <c r="V12" s="10">
        <f>SUM($T$2:T12)</f>
        <v>645.48461166676577</v>
      </c>
      <c r="W12" s="5">
        <f>SQRT((U12^2)+(U11^2)+(U10^2)+(U9^2)+(U8^2)+(U7^2)+(U6^2)+(U5^2)+(U4^2)+(U3^2)+(U2^2))</f>
        <v>4.3744211782625824</v>
      </c>
      <c r="X12" s="10">
        <f t="shared" si="9"/>
        <v>0.89919187817219592</v>
      </c>
      <c r="Y12" s="5">
        <f t="shared" si="10"/>
        <v>1.8854416286845036E-2</v>
      </c>
      <c r="Z12" s="5">
        <f t="shared" si="11"/>
        <v>3.5548901351764735E-4</v>
      </c>
      <c r="AA12" s="10">
        <f>(C12-$AE$6)*24</f>
        <v>100.25000000005821</v>
      </c>
      <c r="AB12" s="15">
        <f t="shared" si="12"/>
        <v>0.99972460665531093</v>
      </c>
      <c r="AC12" s="10">
        <f t="shared" si="13"/>
        <v>0.89943957784588457</v>
      </c>
    </row>
    <row r="13" spans="1:31" x14ac:dyDescent="0.25">
      <c r="A13" s="29" t="s">
        <v>21</v>
      </c>
      <c r="B13" s="26">
        <v>43300.626272511574</v>
      </c>
      <c r="C13" s="12">
        <v>43304.7</v>
      </c>
      <c r="D13" s="11">
        <v>52.16</v>
      </c>
      <c r="E13" s="13">
        <v>2.56</v>
      </c>
      <c r="F13" s="5">
        <f t="shared" si="3"/>
        <v>1.335296</v>
      </c>
      <c r="G13" s="10">
        <f t="shared" si="4"/>
        <v>44.86</v>
      </c>
      <c r="H13" s="5">
        <f t="shared" si="14"/>
        <v>1.4256001788776542</v>
      </c>
      <c r="I13" s="14">
        <f t="shared" si="0"/>
        <v>97.769459722156171</v>
      </c>
      <c r="J13" s="8">
        <f t="shared" si="5"/>
        <v>1.6666666666666666E-2</v>
      </c>
      <c r="K13" s="10">
        <f>1-EXP(-$AE$3*I13)</f>
        <v>0.66836607034569506</v>
      </c>
      <c r="L13" s="5">
        <f t="shared" si="6"/>
        <v>1.1393572734694375E-4</v>
      </c>
      <c r="M13" s="10">
        <f>G13/((1+K13))</f>
        <v>26.888583265604741</v>
      </c>
      <c r="N13" s="5">
        <f t="shared" si="1"/>
        <v>0.85450112828071223</v>
      </c>
      <c r="O13" s="10">
        <f>M13*K13</f>
        <v>17.971416734395255</v>
      </c>
      <c r="P13" s="5">
        <f t="shared" si="2"/>
        <v>0.57112777787924163</v>
      </c>
      <c r="Q13" s="10">
        <f t="shared" si="7"/>
        <v>44.86</v>
      </c>
      <c r="R13" s="10">
        <v>0.78570000000000029</v>
      </c>
      <c r="S13" s="5">
        <v>1.4142135623730951E-4</v>
      </c>
      <c r="T13" s="10">
        <f>M13/R13</f>
        <v>34.222455473596447</v>
      </c>
      <c r="U13" s="5">
        <f t="shared" si="8"/>
        <v>1.08758410861419</v>
      </c>
      <c r="V13" s="10">
        <f>SUM($T$2:T13)</f>
        <v>679.70706714036226</v>
      </c>
      <c r="W13" s="5">
        <f>SQRT((U13^2)+(U12^2)+(U11^2)+(U10^2)+(U9^2)+(U8^2)+(U7^2)+(U6^2)+(U5^2)+(U4^2)+(U3^2)+(U2^2))</f>
        <v>4.5075935750844174</v>
      </c>
      <c r="X13" s="10">
        <f t="shared" si="9"/>
        <v>0.44814305442674568</v>
      </c>
      <c r="Y13" s="5">
        <f t="shared" si="10"/>
        <v>1.4241685471345205E-2</v>
      </c>
      <c r="Z13" s="5">
        <f t="shared" si="11"/>
        <v>2.0282560506472509E-4</v>
      </c>
      <c r="AA13" s="10">
        <f>(C13-$AE$6)*24</f>
        <v>100.79999999993015</v>
      </c>
      <c r="AB13" s="15">
        <f t="shared" si="12"/>
        <v>0.99972309597833542</v>
      </c>
      <c r="AC13" s="10">
        <f t="shared" si="13"/>
        <v>0.4482671814120589</v>
      </c>
    </row>
    <row r="14" spans="1:31" x14ac:dyDescent="0.25">
      <c r="A14" s="29" t="s">
        <v>22</v>
      </c>
      <c r="B14" s="26">
        <v>43300.626388194447</v>
      </c>
      <c r="C14" s="12">
        <v>43304.722916666666</v>
      </c>
      <c r="D14" s="11">
        <v>40.9</v>
      </c>
      <c r="E14" s="13">
        <v>2.89</v>
      </c>
      <c r="F14" s="5">
        <f t="shared" si="3"/>
        <v>1.18201</v>
      </c>
      <c r="G14" s="10">
        <f t="shared" si="4"/>
        <v>33.6</v>
      </c>
      <c r="H14" s="5">
        <f t="shared" si="14"/>
        <v>1.283147732141549</v>
      </c>
      <c r="I14" s="14">
        <f t="shared" si="0"/>
        <v>98.316683333250694</v>
      </c>
      <c r="J14" s="8">
        <f t="shared" si="5"/>
        <v>1.6666666666666666E-2</v>
      </c>
      <c r="K14" s="10">
        <f>1-EXP(-$AE$3*I14)</f>
        <v>0.67040846709146307</v>
      </c>
      <c r="L14" s="5">
        <f t="shared" si="6"/>
        <v>1.1364779682051699E-4</v>
      </c>
      <c r="M14" s="10">
        <f>G14/((1+K14))</f>
        <v>20.114840568609402</v>
      </c>
      <c r="N14" s="5">
        <f t="shared" si="1"/>
        <v>0.768171617502305</v>
      </c>
      <c r="O14" s="10">
        <f>M14*K14</f>
        <v>13.485159431390603</v>
      </c>
      <c r="P14" s="5">
        <f t="shared" si="2"/>
        <v>0.51499383025948142</v>
      </c>
      <c r="Q14" s="10">
        <f t="shared" si="7"/>
        <v>33.600000000000009</v>
      </c>
      <c r="R14" s="10">
        <v>0.8393000000000006</v>
      </c>
      <c r="S14" s="5">
        <v>1.4142135623730951E-4</v>
      </c>
      <c r="T14" s="10">
        <f>M14/R14</f>
        <v>23.966210614332645</v>
      </c>
      <c r="U14" s="5">
        <f t="shared" si="8"/>
        <v>0.91526164028541768</v>
      </c>
      <c r="V14" s="10">
        <f>SUM($T$2:T14)</f>
        <v>703.67327775469494</v>
      </c>
      <c r="W14" s="5">
        <f>SQRT((U14^2)+(U13^2)+(U12^2)+(U11^2)+(U10^2)+(U9^2)+(U8^2)+(U7^2)+(U6^2)+(U5^2)+(U4^2)+(U3^2)+(U2^2))</f>
        <v>4.5995764705372899</v>
      </c>
      <c r="X14" s="10">
        <f t="shared" si="9"/>
        <v>0.33524734281015672</v>
      </c>
      <c r="Y14" s="5">
        <f t="shared" si="10"/>
        <v>1.2802860291705085E-2</v>
      </c>
      <c r="Z14" s="5">
        <f t="shared" si="11"/>
        <v>1.6391323164891881E-4</v>
      </c>
      <c r="AA14" s="10">
        <f>(C14-$AE$6)*24</f>
        <v>101.34999999997672</v>
      </c>
      <c r="AB14" s="15">
        <f t="shared" si="12"/>
        <v>0.9997215853036423</v>
      </c>
      <c r="AC14" s="10">
        <f t="shared" si="13"/>
        <v>0.33534070659115867</v>
      </c>
    </row>
    <row r="15" spans="1:31" x14ac:dyDescent="0.25">
      <c r="A15" s="29" t="s">
        <v>23</v>
      </c>
      <c r="B15" s="26">
        <v>43300.626503877313</v>
      </c>
      <c r="C15" s="12">
        <v>43304.745138888888</v>
      </c>
      <c r="D15" s="11">
        <v>29.27</v>
      </c>
      <c r="E15" s="13">
        <v>3.41</v>
      </c>
      <c r="F15" s="5">
        <f t="shared" si="3"/>
        <v>0.99810699999999997</v>
      </c>
      <c r="G15" s="10">
        <f t="shared" si="4"/>
        <v>21.97</v>
      </c>
      <c r="H15" s="5">
        <f t="shared" si="14"/>
        <v>1.1160367582875574</v>
      </c>
      <c r="I15" s="14">
        <f t="shared" si="0"/>
        <v>98.847240277798846</v>
      </c>
      <c r="J15" s="8">
        <f t="shared" si="5"/>
        <v>1.6666666666666666E-2</v>
      </c>
      <c r="K15" s="10">
        <f>1-EXP(-$AE$3*I15)</f>
        <v>0.67237664879320747</v>
      </c>
      <c r="L15" s="5">
        <f t="shared" si="6"/>
        <v>1.1336965451329578E-4</v>
      </c>
      <c r="M15" s="10">
        <f>G15/((1+K15))</f>
        <v>13.136992803537185</v>
      </c>
      <c r="N15" s="5">
        <f t="shared" si="1"/>
        <v>0.66733944585992389</v>
      </c>
      <c r="O15" s="10">
        <f>M15*K15</f>
        <v>8.8330071964628161</v>
      </c>
      <c r="P15" s="5">
        <f t="shared" si="2"/>
        <v>0.44870593191027169</v>
      </c>
      <c r="Q15" s="10">
        <f t="shared" si="7"/>
        <v>21.97</v>
      </c>
      <c r="R15" s="10">
        <v>0.78149999999999942</v>
      </c>
      <c r="S15" s="5">
        <v>1.4142135623730951E-4</v>
      </c>
      <c r="T15" s="10">
        <f>M15/R15</f>
        <v>16.809971597616371</v>
      </c>
      <c r="U15" s="5">
        <f t="shared" si="8"/>
        <v>0.85392665412730595</v>
      </c>
      <c r="V15" s="10">
        <f>SUM($T$2:T15)</f>
        <v>720.4832493523113</v>
      </c>
      <c r="W15" s="5">
        <f>SQRT((U15^2)+(U14^2)+(U13^2)+(U12^2)+(U11^2)+(U10^2)+(U9^2)+(U8^2)+(U7^2)+(U6^2)+(U5^2)+(U4^2)+(U3^2)+(U2^2))</f>
        <v>4.6781721258360438</v>
      </c>
      <c r="X15" s="10">
        <f t="shared" si="9"/>
        <v>0.21894988005895308</v>
      </c>
      <c r="Y15" s="5">
        <f t="shared" si="10"/>
        <v>1.1122324097665398E-2</v>
      </c>
      <c r="Z15" s="5">
        <f t="shared" si="11"/>
        <v>1.2370609333350841E-4</v>
      </c>
      <c r="AA15" s="10">
        <f>(C15-$AE$6)*24</f>
        <v>101.88333333330229</v>
      </c>
      <c r="AB15" s="15">
        <f t="shared" si="12"/>
        <v>0.99972012040915026</v>
      </c>
      <c r="AC15" s="10">
        <f t="shared" si="13"/>
        <v>0.21901117681751228</v>
      </c>
    </row>
    <row r="16" spans="1:31" x14ac:dyDescent="0.25">
      <c r="A16" s="29" t="s">
        <v>24</v>
      </c>
      <c r="B16" s="26">
        <v>43300.626619560186</v>
      </c>
      <c r="C16" s="12">
        <v>43304.768055555556</v>
      </c>
      <c r="D16" s="11">
        <v>19.34</v>
      </c>
      <c r="E16" s="13">
        <v>4.2</v>
      </c>
      <c r="F16" s="5">
        <f t="shared" si="3"/>
        <v>0.81228</v>
      </c>
      <c r="G16" s="10">
        <f t="shared" si="4"/>
        <v>12.04</v>
      </c>
      <c r="H16" s="5">
        <f t="shared" si="14"/>
        <v>0.95347745689135199</v>
      </c>
      <c r="I16" s="14">
        <f t="shared" si="0"/>
        <v>99.39446388889337</v>
      </c>
      <c r="J16" s="8">
        <f t="shared" si="5"/>
        <v>1.6666666666666666E-2</v>
      </c>
      <c r="K16" s="10">
        <f>1-EXP(-$AE$3*I16)</f>
        <v>0.67439434603860038</v>
      </c>
      <c r="L16" s="5">
        <f t="shared" si="6"/>
        <v>1.1308382104534884E-4</v>
      </c>
      <c r="M16" s="10">
        <f>G16/((1+K16))</f>
        <v>7.1906597322698058</v>
      </c>
      <c r="N16" s="5">
        <f t="shared" si="1"/>
        <v>0.56944745217519144</v>
      </c>
      <c r="O16" s="10">
        <f>M16*K16</f>
        <v>4.8493402677301933</v>
      </c>
      <c r="P16" s="5">
        <f t="shared" si="2"/>
        <v>0.38403300298857512</v>
      </c>
      <c r="Q16" s="10">
        <f t="shared" si="7"/>
        <v>12.04</v>
      </c>
      <c r="R16" s="10">
        <v>0.82379999999999942</v>
      </c>
      <c r="S16" s="5">
        <v>1.4142135623730951E-4</v>
      </c>
      <c r="T16" s="10">
        <f>M16/R16</f>
        <v>8.7286474050374014</v>
      </c>
      <c r="U16" s="5">
        <f t="shared" si="8"/>
        <v>0.69124640704629514</v>
      </c>
      <c r="V16" s="10">
        <f>SUM($T$2:T16)</f>
        <v>729.21189675734865</v>
      </c>
      <c r="W16" s="5">
        <f>SQRT((U16^2)+(U15^2)+(U14^2)+(U13^2)+(U12^2)+(U11^2)+(U10^2)+(U9^2)+(U8^2)+(U7^2)+(U6^2)+(U5^2)+(U4^2)+(U3^2)+(U2^2))</f>
        <v>4.7289656410470711</v>
      </c>
      <c r="X16" s="10">
        <f t="shared" si="9"/>
        <v>0.11984432887116343</v>
      </c>
      <c r="Y16" s="5">
        <f t="shared" si="10"/>
        <v>9.490790869586525E-3</v>
      </c>
      <c r="Z16" s="5">
        <f t="shared" si="11"/>
        <v>9.0075111330226946E-5</v>
      </c>
      <c r="AA16" s="10">
        <f>(C16-$AE$6)*24</f>
        <v>102.43333333334886</v>
      </c>
      <c r="AB16" s="15">
        <f t="shared" si="12"/>
        <v>0.99971860973895343</v>
      </c>
      <c r="AC16" s="10">
        <f t="shared" si="13"/>
        <v>0.11987806139015177</v>
      </c>
    </row>
    <row r="17" spans="1:29" ht="15.75" thickBot="1" x14ac:dyDescent="0.3">
      <c r="A17" s="30" t="s">
        <v>9</v>
      </c>
      <c r="B17" s="26">
        <v>43300.626735243059</v>
      </c>
      <c r="C17" s="12">
        <v>43304.790972222225</v>
      </c>
      <c r="D17" s="11">
        <v>7.3</v>
      </c>
      <c r="E17" s="13">
        <v>6.84</v>
      </c>
      <c r="F17" s="5">
        <f t="shared" si="3"/>
        <v>0.49931999999999999</v>
      </c>
      <c r="G17" s="10">
        <f t="shared" si="4"/>
        <v>0</v>
      </c>
      <c r="H17" s="5">
        <f t="shared" si="14"/>
        <v>0.70614511596413376</v>
      </c>
      <c r="I17" s="14">
        <f t="shared" si="0"/>
        <v>99.941687499987893</v>
      </c>
      <c r="J17" s="8">
        <f t="shared" si="5"/>
        <v>1.6666666666666666E-2</v>
      </c>
      <c r="K17" s="10">
        <f>1-EXP(-$AE$3*I17)</f>
        <v>0.67639961711791252</v>
      </c>
      <c r="L17" s="5">
        <f t="shared" si="6"/>
        <v>1.1279904546305139E-4</v>
      </c>
      <c r="M17" s="10">
        <f>G17/((1+K17))</f>
        <v>0</v>
      </c>
      <c r="N17" s="5" t="e">
        <f t="shared" si="1"/>
        <v>#DIV/0!</v>
      </c>
      <c r="O17" s="10">
        <f>M17*K17</f>
        <v>0</v>
      </c>
      <c r="P17" s="5" t="e">
        <f t="shared" si="2"/>
        <v>#DIV/0!</v>
      </c>
      <c r="Q17" s="10">
        <f t="shared" si="7"/>
        <v>0</v>
      </c>
      <c r="R17" s="10"/>
      <c r="S17" s="5">
        <v>1E-4</v>
      </c>
      <c r="T17" s="10"/>
      <c r="U17" s="10"/>
      <c r="V17" s="10"/>
      <c r="W17" s="10"/>
      <c r="X17" s="10">
        <f t="shared" si="9"/>
        <v>0</v>
      </c>
      <c r="Y17" s="5"/>
      <c r="Z17" s="5"/>
      <c r="AA17" s="10"/>
      <c r="AB17" s="10"/>
      <c r="AC17" s="10"/>
    </row>
    <row r="23" spans="1:29" x14ac:dyDescent="0.25">
      <c r="X23" s="2">
        <f>SUM(X2:X17)</f>
        <v>9.8227979001925334</v>
      </c>
      <c r="Y23" s="2"/>
      <c r="Z23" s="2"/>
      <c r="AB23" s="2"/>
      <c r="AC23">
        <f>SUM(AC2:AC16)</f>
        <v>9.8254726572180218</v>
      </c>
    </row>
    <row r="27" spans="1:29" x14ac:dyDescent="0.25">
      <c r="I27" t="s">
        <v>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CT16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2021-06-16T14:04:38Z</dcterms:modified>
</cp:coreProperties>
</file>